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kim660\Dropbox\Daejin\autoOwnershipCost\versions\"/>
    </mc:Choice>
  </mc:AlternateContent>
  <bookViews>
    <workbookView xWindow="0" yWindow="0" windowWidth="24000" windowHeight="8910"/>
  </bookViews>
  <sheets>
    <sheet name="calculations" sheetId="1" r:id="rId1"/>
    <sheet name="opCostChart" sheetId="5" r:id="rId2"/>
    <sheet name="fuel taxes" sheetId="4" r:id="rId3"/>
    <sheet name="ad valorem" sheetId="3" r:id="rId4"/>
    <sheet name="other" sheetId="2" r:id="rId5"/>
  </sheets>
  <calcPr calcId="152511"/>
</workbook>
</file>

<file path=xl/calcChain.xml><?xml version="1.0" encoding="utf-8"?>
<calcChain xmlns="http://schemas.openxmlformats.org/spreadsheetml/2006/main">
  <c r="I4" i="4" l="1"/>
  <c r="A118" i="1" l="1"/>
  <c r="G103" i="1" l="1"/>
  <c r="G104" i="1"/>
  <c r="G105" i="1"/>
  <c r="G106" i="1"/>
  <c r="G107" i="1"/>
  <c r="G109" i="1"/>
  <c r="G110" i="1"/>
  <c r="G111" i="1"/>
  <c r="G112" i="1"/>
  <c r="G113" i="1"/>
  <c r="G114" i="1"/>
  <c r="F112" i="1" l="1"/>
  <c r="F103" i="1"/>
  <c r="F104" i="1"/>
  <c r="F105" i="1"/>
  <c r="F106" i="1"/>
  <c r="F107" i="1"/>
  <c r="F109" i="1"/>
  <c r="F110" i="1"/>
  <c r="F111" i="1"/>
  <c r="F113" i="1"/>
  <c r="F114" i="1"/>
  <c r="A45" i="1" l="1"/>
  <c r="A59" i="1" l="1"/>
  <c r="A42" i="1" l="1"/>
  <c r="A96" i="1"/>
  <c r="A114" i="1"/>
  <c r="A47" i="1" l="1"/>
  <c r="A70" i="1" l="1"/>
  <c r="A72" i="1"/>
  <c r="A73" i="1" s="1"/>
  <c r="A57" i="1"/>
  <c r="A58" i="1" s="1"/>
  <c r="A60" i="1" s="1"/>
  <c r="E6" i="4" l="1"/>
  <c r="A6" i="4"/>
  <c r="A88" i="1"/>
  <c r="A93" i="1"/>
  <c r="A7" i="2"/>
  <c r="A37" i="1"/>
  <c r="A81" i="1" l="1"/>
  <c r="C9" i="4"/>
  <c r="G9" i="4"/>
  <c r="A39" i="1"/>
  <c r="A109" i="1"/>
  <c r="A91" i="1"/>
  <c r="A107" i="1"/>
  <c r="A89" i="1"/>
  <c r="E18" i="4"/>
  <c r="E19" i="4" s="1"/>
  <c r="E22" i="4" s="1"/>
  <c r="A18" i="4"/>
  <c r="A19" i="4" s="1"/>
  <c r="A22" i="4" s="1"/>
  <c r="A11" i="1"/>
  <c r="A36" i="1" s="1"/>
  <c r="A30" i="1"/>
  <c r="A31" i="1"/>
  <c r="A21" i="1" s="1"/>
  <c r="A56" i="1"/>
  <c r="A61" i="1" s="1"/>
  <c r="A13" i="2"/>
  <c r="A67" i="1"/>
  <c r="A110" i="1" s="1"/>
  <c r="A77" i="1"/>
  <c r="A112" i="1" s="1"/>
  <c r="A111" i="1"/>
  <c r="H109" i="1" l="1"/>
  <c r="H114" i="1"/>
  <c r="H112" i="1"/>
  <c r="H110" i="1"/>
  <c r="H107" i="1"/>
  <c r="H111" i="1"/>
  <c r="A95" i="1"/>
  <c r="A113" i="1"/>
  <c r="A94" i="1"/>
  <c r="A104" i="1"/>
  <c r="A48" i="1"/>
  <c r="A105" i="1" s="1"/>
  <c r="G10" i="4"/>
  <c r="G6" i="4"/>
  <c r="E7" i="4"/>
  <c r="E11" i="4" s="1"/>
  <c r="E8" i="4" s="1"/>
  <c r="G8" i="4" s="1"/>
  <c r="G13" i="4" s="1"/>
  <c r="G14" i="4" s="1"/>
  <c r="A92" i="1"/>
  <c r="C10" i="4"/>
  <c r="C6" i="4"/>
  <c r="A7" i="4"/>
  <c r="A11" i="4" s="1"/>
  <c r="C11" i="4" s="1"/>
  <c r="A38" i="1"/>
  <c r="A40" i="1" s="1"/>
  <c r="H113" i="1" l="1"/>
  <c r="A23" i="1"/>
  <c r="A24" i="1" s="1"/>
  <c r="A27" i="1" s="1"/>
  <c r="H105" i="1"/>
  <c r="H104" i="1"/>
  <c r="A32" i="1"/>
  <c r="A33" i="1" s="1"/>
  <c r="A87" i="1" s="1"/>
  <c r="A49" i="1"/>
  <c r="A106" i="1" s="1"/>
  <c r="G11" i="4"/>
  <c r="A8" i="4"/>
  <c r="A34" i="1" l="1"/>
  <c r="A101" i="1"/>
  <c r="G101" i="1" s="1"/>
  <c r="F101" i="1" s="1"/>
  <c r="A102" i="1"/>
  <c r="H106" i="1"/>
  <c r="A86" i="1"/>
  <c r="A46" i="1"/>
  <c r="A50" i="1" s="1"/>
  <c r="C8" i="4"/>
  <c r="C13" i="4" s="1"/>
  <c r="C14" i="4" s="1"/>
  <c r="A90" i="1"/>
  <c r="A108" i="1"/>
  <c r="G108" i="1" s="1"/>
  <c r="F108" i="1" s="1"/>
  <c r="H101" i="1" l="1"/>
  <c r="H102" i="1"/>
  <c r="G102" i="1"/>
  <c r="F102" i="1" s="1"/>
  <c r="A97" i="1"/>
  <c r="H108" i="1"/>
  <c r="A103" i="1"/>
  <c r="D103" i="1" l="1"/>
  <c r="A10" i="2"/>
  <c r="D102" i="1"/>
  <c r="D112" i="1"/>
  <c r="E112" i="1" s="1"/>
  <c r="D101" i="1"/>
  <c r="E101" i="1" s="1"/>
  <c r="D109" i="1"/>
  <c r="D113" i="1"/>
  <c r="D110" i="1"/>
  <c r="E110" i="1" s="1"/>
  <c r="D114" i="1"/>
  <c r="E114" i="1" s="1"/>
  <c r="D107" i="1"/>
  <c r="D111" i="1"/>
  <c r="D104" i="1"/>
  <c r="E104" i="1" s="1"/>
  <c r="D105" i="1"/>
  <c r="D106" i="1"/>
  <c r="D108" i="1"/>
  <c r="A4" i="2"/>
  <c r="E108" i="1"/>
  <c r="H103" i="1"/>
  <c r="E103" i="1"/>
  <c r="E107" i="1"/>
  <c r="E113" i="1"/>
  <c r="E111" i="1"/>
  <c r="E106" i="1"/>
  <c r="E105" i="1"/>
  <c r="E109" i="1"/>
  <c r="E102" i="1"/>
  <c r="A115" i="1"/>
  <c r="C17" i="4"/>
  <c r="D115" i="1" l="1"/>
  <c r="G115" i="1"/>
  <c r="F115" i="1" s="1"/>
  <c r="H115" i="1"/>
  <c r="E100" i="1" s="1"/>
  <c r="E115" i="1"/>
  <c r="C24" i="4"/>
  <c r="C25" i="4" s="1"/>
  <c r="C21" i="4"/>
  <c r="C22" i="4"/>
  <c r="G22" i="4" s="1"/>
  <c r="C20" i="4"/>
  <c r="C19" i="4"/>
  <c r="G21" i="4" l="1"/>
  <c r="G19" i="4"/>
  <c r="G17" i="4"/>
  <c r="G24" i="4" s="1"/>
  <c r="G25" i="4" s="1"/>
  <c r="G20" i="4"/>
</calcChain>
</file>

<file path=xl/sharedStrings.xml><?xml version="1.0" encoding="utf-8"?>
<sst xmlns="http://schemas.openxmlformats.org/spreadsheetml/2006/main" count="195" uniqueCount="139">
  <si>
    <t>Make</t>
  </si>
  <si>
    <t>Model</t>
  </si>
  <si>
    <t>Depreciation</t>
  </si>
  <si>
    <t xml:space="preserve">Minimum salvage </t>
  </si>
  <si>
    <t>Interest rate</t>
  </si>
  <si>
    <t>Down payment</t>
  </si>
  <si>
    <t>Financed</t>
  </si>
  <si>
    <t>Loan term (months)</t>
  </si>
  <si>
    <t>Interest</t>
  </si>
  <si>
    <t>Salvage value</t>
  </si>
  <si>
    <t>Interest Paid</t>
  </si>
  <si>
    <t>Monthly interest rate</t>
  </si>
  <si>
    <t>Registration</t>
  </si>
  <si>
    <t>Smog Check</t>
  </si>
  <si>
    <t>Maintenance</t>
  </si>
  <si>
    <t>Insurance</t>
  </si>
  <si>
    <t>Fuel</t>
  </si>
  <si>
    <t>Total</t>
  </si>
  <si>
    <t>Fuel economy (mpg)</t>
  </si>
  <si>
    <t>Car Washes</t>
  </si>
  <si>
    <t>Cost/wash</t>
  </si>
  <si>
    <t>Washes/year</t>
  </si>
  <si>
    <t>Tires</t>
  </si>
  <si>
    <t>Tire warranty (miles)</t>
  </si>
  <si>
    <t>User-input salvage</t>
  </si>
  <si>
    <t>Home to Work (miles)</t>
  </si>
  <si>
    <t>Home to work cost</t>
  </si>
  <si>
    <t>Transit cost</t>
  </si>
  <si>
    <t>Farebox return</t>
  </si>
  <si>
    <t>minutes</t>
  </si>
  <si>
    <t>Work to Airport</t>
  </si>
  <si>
    <t>Insurance Data</t>
  </si>
  <si>
    <t>Maintenance Data</t>
  </si>
  <si>
    <r>
      <t>Maintenance (</t>
    </r>
    <r>
      <rPr>
        <sz val="11"/>
        <color theme="1"/>
        <rFont val="Calibri"/>
        <family val="2"/>
      </rPr>
      <t>₵</t>
    </r>
    <r>
      <rPr>
        <sz val="11"/>
        <color theme="1"/>
        <rFont val="Calibri"/>
        <family val="2"/>
        <scheme val="minor"/>
      </rPr>
      <t>/mile)</t>
    </r>
  </si>
  <si>
    <t>Car Wash Data</t>
  </si>
  <si>
    <t>Tire Cost Data</t>
  </si>
  <si>
    <t>Summary of Ownership and Operating Costs</t>
  </si>
  <si>
    <t>Salvage Data (Depreciation)</t>
  </si>
  <si>
    <t>Financing Data (Interest)</t>
  </si>
  <si>
    <t>Fuel Data</t>
  </si>
  <si>
    <t>Registration Data</t>
  </si>
  <si>
    <t>Plate Fee</t>
  </si>
  <si>
    <t>Total Registration</t>
  </si>
  <si>
    <t>Smog Check Data</t>
  </si>
  <si>
    <t>Cost of Owning and Operating a Personal Vehicle</t>
  </si>
  <si>
    <t>Ad Valorem Tax</t>
  </si>
  <si>
    <t>Applies to vehicles purchased after March 1, 2013</t>
  </si>
  <si>
    <t>Percentage of GA value</t>
  </si>
  <si>
    <t>Applies to vehicles purchased before March 1, 2013</t>
  </si>
  <si>
    <t>Forsyth County</t>
  </si>
  <si>
    <t>County</t>
  </si>
  <si>
    <t>Annual Fee = fair market value * 40% * millage rate</t>
  </si>
  <si>
    <t>Millage Rate</t>
  </si>
  <si>
    <t>Georgia State Tax</t>
  </si>
  <si>
    <t>Federal Excise Tax</t>
  </si>
  <si>
    <t>TAVT value</t>
  </si>
  <si>
    <t>TAVT Millage/1000</t>
  </si>
  <si>
    <t>Special Plate Fee</t>
  </si>
  <si>
    <t>Lifetime Mileage</t>
  </si>
  <si>
    <t>Current Year</t>
  </si>
  <si>
    <t>Owner's lifetime mileage accrual</t>
  </si>
  <si>
    <t>Owner-accrued mileage to end of life</t>
  </si>
  <si>
    <t>Vehicle value (current)</t>
  </si>
  <si>
    <t>Salvage value ($)</t>
  </si>
  <si>
    <t>Mileage accrued prior to purchase</t>
  </si>
  <si>
    <t>Owner-accrued mileage since purchase</t>
  </si>
  <si>
    <t>Total lifetime vehicle mileage</t>
  </si>
  <si>
    <t>Financed amount</t>
  </si>
  <si>
    <t>Other Vehicle Data</t>
  </si>
  <si>
    <t>User-provided Vehicle Data</t>
  </si>
  <si>
    <t>Tax limited to first $3.00 of price</t>
  </si>
  <si>
    <t>County Sales Tax Rate</t>
  </si>
  <si>
    <t>County Sales Tax</t>
  </si>
  <si>
    <t>Fuel Cost Component Allocation</t>
  </si>
  <si>
    <t>Sales Price</t>
  </si>
  <si>
    <t>Gasoline Rack Price</t>
  </si>
  <si>
    <t>Diesel Rack Price</t>
  </si>
  <si>
    <t>Work to Airport cost</t>
  </si>
  <si>
    <t>Average true transit cost</t>
  </si>
  <si>
    <t>Interesting calculations</t>
  </si>
  <si>
    <t>Calculated for known rack price</t>
  </si>
  <si>
    <t>Calculated for known sales price</t>
  </si>
  <si>
    <t>Fuel Percent of Total Cost</t>
  </si>
  <si>
    <t>Tax Percent of Total Cost</t>
  </si>
  <si>
    <t>County Taxable Portion</t>
  </si>
  <si>
    <t>Station Price</t>
  </si>
  <si>
    <t>Gasoline</t>
  </si>
  <si>
    <t>¢</t>
  </si>
  <si>
    <t>Georgia Excise Tax</t>
  </si>
  <si>
    <t>Model Year</t>
  </si>
  <si>
    <t>Year Purchased</t>
  </si>
  <si>
    <t>Cost/tire</t>
  </si>
  <si>
    <t>Tire cost total</t>
  </si>
  <si>
    <t>Diesel</t>
  </si>
  <si>
    <t>Total Fuel Cost</t>
  </si>
  <si>
    <t>Fuel Rack Price</t>
  </si>
  <si>
    <t>Fuel (pre-tax)</t>
  </si>
  <si>
    <t>Fuel cost used ($/gallon)</t>
  </si>
  <si>
    <t>Parking Data</t>
  </si>
  <si>
    <t>Annual car wash cost</t>
  </si>
  <si>
    <t>Monthly parking cost total</t>
  </si>
  <si>
    <t>Monthly parking cost home</t>
  </si>
  <si>
    <t>Monthly parking cost  work</t>
  </si>
  <si>
    <t>Parking</t>
  </si>
  <si>
    <t>Tolls Data</t>
  </si>
  <si>
    <t>Monthly tolls paid</t>
  </si>
  <si>
    <t>Tolls</t>
  </si>
  <si>
    <t>Odometer at Purchase (miles)</t>
    <phoneticPr fontId="6" type="noConversion"/>
  </si>
  <si>
    <t>Maximum miles (odometer reading) you would allow on this vehicle</t>
    <phoneticPr fontId="6" type="noConversion"/>
  </si>
  <si>
    <t>Number of additional years you are willing to drive this vehicle</t>
    <phoneticPr fontId="6" type="noConversion"/>
  </si>
  <si>
    <t>Remaining useful vehicle life based upon your statements above</t>
    <phoneticPr fontId="6" type="noConversion"/>
  </si>
  <si>
    <t>Insurance (annual), default value is a national average in US</t>
    <phoneticPr fontId="6" type="noConversion"/>
  </si>
  <si>
    <t>Yes</t>
    <phoneticPr fontId="6" type="noConversion"/>
  </si>
  <si>
    <t>No</t>
    <phoneticPr fontId="6" type="noConversion"/>
  </si>
  <si>
    <t>Do you have a special plate (Yes or No)</t>
    <phoneticPr fontId="6" type="noConversion"/>
  </si>
  <si>
    <t>Was vehicle purchased before 2013 (Yes or No)</t>
    <phoneticPr fontId="6" type="noConversion"/>
  </si>
  <si>
    <r>
      <t>Maintenance (</t>
    </r>
    <r>
      <rPr>
        <sz val="11"/>
        <color theme="1"/>
        <rFont val="Calibri"/>
        <family val="2"/>
      </rPr>
      <t>₵</t>
    </r>
    <r>
      <rPr>
        <sz val="11"/>
        <color theme="1"/>
        <rFont val="Calibri"/>
        <family val="2"/>
        <scheme val="minor"/>
      </rPr>
      <t>/mile)</t>
    </r>
    <phoneticPr fontId="6" type="noConversion"/>
  </si>
  <si>
    <t>User-input annual maintenance</t>
    <phoneticPr fontId="6" type="noConversion"/>
  </si>
  <si>
    <t>User-input maintenance (₵/mile)</t>
    <phoneticPr fontId="6" type="noConversion"/>
  </si>
  <si>
    <t>End of Life Salvage (%), default value assumes 10% of depreciation per year and minimum is set to 10%</t>
    <phoneticPr fontId="6" type="noConversion"/>
  </si>
  <si>
    <t>Fuel type (Gasoline or Diesel)</t>
  </si>
  <si>
    <t>No</t>
  </si>
  <si>
    <t>Purchase price (including the 7% TAVT and all fees)</t>
  </si>
  <si>
    <t>Subaru</t>
  </si>
  <si>
    <t>Forester</t>
  </si>
  <si>
    <t xml:space="preserve">Annual maintenance cost, default value is a national average in US </t>
  </si>
  <si>
    <t>Annual VMT (miles), default value is an average VMT of Georgia in 2014</t>
  </si>
  <si>
    <t>Drop-down</t>
  </si>
  <si>
    <t>Grey-colored</t>
  </si>
  <si>
    <t>Orange-colored</t>
  </si>
  <si>
    <t>Yellow-colored</t>
  </si>
  <si>
    <t>Do not modify the values</t>
  </si>
  <si>
    <t>Fuel cost ($/gallon), default value is a Georgia average fuel price in July 2017</t>
  </si>
  <si>
    <t>User-input fuel cost</t>
  </si>
  <si>
    <t>Fuel type (Currently Gasoline and Diesel are only supported)</t>
  </si>
  <si>
    <t>Instruction</t>
  </si>
  <si>
    <t>User-input values (feel free to modify)</t>
  </si>
  <si>
    <t>Carefully modify the values, or use "User-input" cells</t>
  </si>
  <si>
    <t>Labels for Pie Chart (see the next 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</si>
</sst>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444444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3"/>
      <charset val="129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2" applyFont="1" applyAlignment="1">
      <alignment horizontal="right"/>
    </xf>
    <xf numFmtId="0" fontId="0" fillId="2" borderId="0" xfId="0" applyFill="1" applyAlignment="1">
      <alignment horizontal="right"/>
    </xf>
    <xf numFmtId="44" fontId="0" fillId="2" borderId="0" xfId="2" applyFont="1" applyFill="1" applyAlignment="1">
      <alignment horizontal="right"/>
    </xf>
    <xf numFmtId="8" fontId="0" fillId="0" borderId="0" xfId="2" applyNumberFormat="1" applyFont="1" applyAlignment="1">
      <alignment horizontal="right"/>
    </xf>
    <xf numFmtId="44" fontId="0" fillId="2" borderId="0" xfId="2" applyFont="1" applyFill="1"/>
    <xf numFmtId="44" fontId="0" fillId="0" borderId="0" xfId="2" applyFont="1" applyFill="1"/>
    <xf numFmtId="0" fontId="0" fillId="0" borderId="0" xfId="0" applyAlignment="1">
      <alignment horizontal="left"/>
    </xf>
    <xf numFmtId="166" fontId="0" fillId="2" borderId="0" xfId="1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44" fontId="0" fillId="4" borderId="0" xfId="2" applyFont="1" applyFill="1" applyAlignment="1">
      <alignment horizontal="right"/>
    </xf>
    <xf numFmtId="44" fontId="0" fillId="4" borderId="0" xfId="2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0" applyNumberFormat="1" applyFill="1" applyAlignment="1">
      <alignment horizontal="right"/>
    </xf>
    <xf numFmtId="44" fontId="0" fillId="0" borderId="0" xfId="2" applyFont="1" applyFill="1" applyAlignment="1">
      <alignment horizontal="right"/>
    </xf>
    <xf numFmtId="9" fontId="0" fillId="0" borderId="0" xfId="3" applyFont="1" applyFill="1" applyAlignment="1">
      <alignment horizontal="right"/>
    </xf>
    <xf numFmtId="44" fontId="0" fillId="0" borderId="0" xfId="0" applyNumberFormat="1" applyFill="1"/>
    <xf numFmtId="10" fontId="0" fillId="0" borderId="0" xfId="0" applyNumberFormat="1"/>
    <xf numFmtId="9" fontId="0" fillId="0" borderId="0" xfId="3" applyFont="1"/>
    <xf numFmtId="165" fontId="0" fillId="0" borderId="0" xfId="3" applyNumberFormat="1" applyFont="1"/>
    <xf numFmtId="10" fontId="0" fillId="0" borderId="0" xfId="3" applyNumberFormat="1" applyFont="1"/>
    <xf numFmtId="0" fontId="3" fillId="0" borderId="0" xfId="0" applyFont="1"/>
    <xf numFmtId="10" fontId="0" fillId="2" borderId="0" xfId="3" applyNumberFormat="1" applyFont="1" applyFill="1" applyAlignment="1">
      <alignment horizontal="right"/>
    </xf>
    <xf numFmtId="164" fontId="0" fillId="0" borderId="0" xfId="2" applyNumberFormat="1" applyFont="1"/>
    <xf numFmtId="165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64" fontId="0" fillId="3" borderId="0" xfId="2" applyNumberFormat="1" applyFont="1" applyFill="1"/>
    <xf numFmtId="164" fontId="0" fillId="2" borderId="0" xfId="2" applyNumberFormat="1" applyFont="1" applyFill="1"/>
    <xf numFmtId="0" fontId="5" fillId="0" borderId="0" xfId="0" applyFont="1"/>
    <xf numFmtId="44" fontId="0" fillId="4" borderId="0" xfId="2" applyNumberFormat="1" applyFont="1" applyFill="1" applyAlignment="1">
      <alignment horizontal="right"/>
    </xf>
    <xf numFmtId="167" fontId="0" fillId="2" borderId="0" xfId="2" applyNumberFormat="1" applyFont="1" applyFill="1" applyAlignment="1">
      <alignment horizontal="right"/>
    </xf>
    <xf numFmtId="166" fontId="0" fillId="2" borderId="0" xfId="0" applyNumberFormat="1" applyFill="1" applyAlignment="1">
      <alignment horizontal="right"/>
    </xf>
    <xf numFmtId="0" fontId="0" fillId="0" borderId="0" xfId="0"/>
    <xf numFmtId="0" fontId="0" fillId="2" borderId="0" xfId="0" applyFill="1" applyAlignment="1">
      <alignment horizontal="right"/>
    </xf>
    <xf numFmtId="44" fontId="0" fillId="4" borderId="0" xfId="2" applyFont="1" applyFill="1" applyAlignment="1">
      <alignment horizontal="right"/>
    </xf>
    <xf numFmtId="9" fontId="0" fillId="4" borderId="0" xfId="0" applyNumberFormat="1" applyFill="1" applyAlignment="1">
      <alignment horizontal="right"/>
    </xf>
    <xf numFmtId="166" fontId="0" fillId="5" borderId="0" xfId="1" applyNumberFormat="1" applyFont="1" applyFill="1" applyAlignment="1">
      <alignment horizontal="right"/>
    </xf>
    <xf numFmtId="44" fontId="0" fillId="5" borderId="0" xfId="2" applyFont="1" applyFill="1" applyAlignment="1">
      <alignment horizontal="right"/>
    </xf>
    <xf numFmtId="165" fontId="0" fillId="5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43" fontId="0" fillId="5" borderId="0" xfId="0" applyNumberFormat="1" applyFill="1" applyAlignment="1">
      <alignment horizontal="right"/>
    </xf>
    <xf numFmtId="44" fontId="0" fillId="5" borderId="0" xfId="2" applyNumberFormat="1" applyFont="1" applyFill="1"/>
    <xf numFmtId="44" fontId="0" fillId="5" borderId="0" xfId="2" applyNumberFormat="1" applyFont="1" applyFill="1" applyAlignment="1">
      <alignment horizontal="right"/>
    </xf>
    <xf numFmtId="167" fontId="0" fillId="5" borderId="0" xfId="2" applyNumberFormat="1" applyFont="1" applyFill="1" applyAlignment="1">
      <alignment horizontal="right"/>
    </xf>
    <xf numFmtId="0" fontId="0" fillId="5" borderId="0" xfId="0" applyFill="1" applyAlignment="1">
      <alignment horizontal="right"/>
    </xf>
    <xf numFmtId="44" fontId="0" fillId="5" borderId="0" xfId="2" applyFont="1" applyFill="1"/>
    <xf numFmtId="164" fontId="0" fillId="5" borderId="0" xfId="2" applyNumberFormat="1" applyFont="1" applyFill="1" applyAlignment="1">
      <alignment horizontal="right"/>
    </xf>
    <xf numFmtId="44" fontId="0" fillId="5" borderId="0" xfId="0" applyNumberFormat="1" applyFill="1" applyAlignment="1">
      <alignment horizontal="right"/>
    </xf>
    <xf numFmtId="44" fontId="0" fillId="5" borderId="0" xfId="0" applyNumberFormat="1" applyFill="1"/>
    <xf numFmtId="44" fontId="0" fillId="2" borderId="0" xfId="2" applyNumberFormat="1" applyFont="1" applyFill="1" applyAlignment="1">
      <alignment horizontal="right"/>
    </xf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horizontal="left"/>
    </xf>
    <xf numFmtId="0" fontId="0" fillId="0" borderId="0" xfId="0" applyBorder="1"/>
    <xf numFmtId="0" fontId="7" fillId="0" borderId="0" xfId="0" applyFont="1"/>
    <xf numFmtId="164" fontId="0" fillId="3" borderId="5" xfId="2" applyNumberFormat="1" applyFon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165" fontId="0" fillId="3" borderId="7" xfId="3" applyNumberFormat="1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165" fontId="0" fillId="3" borderId="9" xfId="3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165" fontId="0" fillId="3" borderId="11" xfId="3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 applyAlignment="1">
      <alignment horizontal="center"/>
    </xf>
    <xf numFmtId="164" fontId="0" fillId="0" borderId="0" xfId="0" applyNumberFormat="1" applyBorder="1"/>
    <xf numFmtId="0" fontId="4" fillId="0" borderId="11" xfId="0" applyFont="1" applyBorder="1" applyAlignment="1">
      <alignment horizontal="center"/>
    </xf>
    <xf numFmtId="0" fontId="7" fillId="0" borderId="5" xfId="0" applyFont="1" applyBorder="1"/>
    <xf numFmtId="0" fontId="0" fillId="0" borderId="2" xfId="0" applyBorder="1"/>
    <xf numFmtId="0" fontId="7" fillId="0" borderId="0" xfId="0" applyFont="1" applyBorder="1" applyAlignment="1">
      <alignment horizontal="center"/>
    </xf>
    <xf numFmtId="0" fontId="7" fillId="0" borderId="6" xfId="0" applyFont="1" applyBorder="1"/>
    <xf numFmtId="164" fontId="0" fillId="3" borderId="0" xfId="2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Vehicle Operating Cost = 50.1</a:t>
            </a:r>
            <a:r>
              <a:rPr lang="en-US" sz="2400" baseline="0"/>
              <a:t> </a:t>
            </a:r>
            <a:r>
              <a:rPr lang="en-US" sz="2400"/>
              <a:t>¢/mile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0373411902253056E-2"/>
          <c:y val="0.18582557044140818"/>
          <c:w val="0.57491469692608499"/>
          <c:h val="0.79212686654491438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calculations!$E$101:$E$114</c:f>
              <c:strCache>
                <c:ptCount val="14"/>
                <c:pt idx="0">
                  <c:v>Depreciation (47%)</c:v>
                </c:pt>
                <c:pt idx="1">
                  <c:v>Interest (4.9%)</c:v>
                </c:pt>
                <c:pt idx="2">
                  <c:v>Fuel (pre-tax) (15.3%)</c:v>
                </c:pt>
                <c:pt idx="3">
                  <c:v>Federal Excise Tax (1.6%)</c:v>
                </c:pt>
                <c:pt idx="4">
                  <c:v>Georgia Excise Tax (2.2%)</c:v>
                </c:pt>
                <c:pt idx="5">
                  <c:v>County Sales Tax (0.5%)</c:v>
                </c:pt>
                <c:pt idx="6">
                  <c:v>Insurance (14.1%)</c:v>
                </c:pt>
                <c:pt idx="7">
                  <c:v>Registration (0.3%)</c:v>
                </c:pt>
                <c:pt idx="8">
                  <c:v>Smog Check (0.3%)</c:v>
                </c:pt>
                <c:pt idx="9">
                  <c:v>Tires (1.9%)</c:v>
                </c:pt>
                <c:pt idx="10">
                  <c:v>Maintenance (11.9%)</c:v>
                </c:pt>
                <c:pt idx="11">
                  <c:v>Car Washes (0%)</c:v>
                </c:pt>
                <c:pt idx="12">
                  <c:v>Parking (0%)</c:v>
                </c:pt>
                <c:pt idx="13">
                  <c:v>Tolls (0%)</c:v>
                </c:pt>
              </c:strCache>
            </c:strRef>
          </c:cat>
          <c:val>
            <c:numRef>
              <c:f>calculations!$F$101:$F$114</c:f>
              <c:numCache>
                <c:formatCode>_("$"* #,##0.000_);_("$"* \(#,##0.000\);_("$"* "-"??_);_(@_)</c:formatCode>
                <c:ptCount val="14"/>
                <c:pt idx="0">
                  <c:v>0.23519978618201257</c:v>
                </c:pt>
                <c:pt idx="1">
                  <c:v>2.4362528476171982E-2</c:v>
                </c:pt>
                <c:pt idx="2">
                  <c:v>7.6554430902706042E-2</c:v>
                </c:pt>
                <c:pt idx="3">
                  <c:v>7.8297872340425522E-3</c:v>
                </c:pt>
                <c:pt idx="4">
                  <c:v>1.1191489361702129E-2</c:v>
                </c:pt>
                <c:pt idx="5">
                  <c:v>2.2966329270811812E-3</c:v>
                </c:pt>
                <c:pt idx="6">
                  <c:v>7.0734331150608051E-2</c:v>
                </c:pt>
                <c:pt idx="7">
                  <c:v>1.5590894917368258E-3</c:v>
                </c:pt>
                <c:pt idx="8">
                  <c:v>1.5590894917368258E-3</c:v>
                </c:pt>
                <c:pt idx="9">
                  <c:v>9.5999999999999992E-3</c:v>
                </c:pt>
                <c:pt idx="10">
                  <c:v>5.9752104770813844E-2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66-4928-A8EB-8E4D09B5AE6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549380683910587"/>
          <c:y val="0.14937565444796952"/>
          <c:w val="0.31570116185970121"/>
          <c:h val="0.78212679808509933"/>
        </c:manualLayout>
      </c:layout>
      <c:overlay val="0"/>
      <c:txPr>
        <a:bodyPr/>
        <a:lstStyle/>
        <a:p>
          <a:pPr rtl="0">
            <a:defRPr sz="1800" b="1"/>
          </a:pPr>
          <a:endParaRPr lang="en-US"/>
        </a:p>
      </c:txPr>
    </c:legend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877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18"/>
  <sheetViews>
    <sheetView tabSelected="1" topLeftCell="A46" zoomScaleNormal="100" workbookViewId="0">
      <selection activeCell="A60" sqref="A60"/>
    </sheetView>
  </sheetViews>
  <sheetFormatPr defaultRowHeight="14.5"/>
  <cols>
    <col min="1" max="1" width="24.453125" customWidth="1"/>
    <col min="2" max="2" width="1.7265625" customWidth="1"/>
    <col min="3" max="3" width="60.7265625" customWidth="1"/>
    <col min="4" max="4" width="24" customWidth="1"/>
    <col min="5" max="5" width="57.453125" bestFit="1" customWidth="1"/>
    <col min="6" max="6" width="9.7265625" style="37" hidden="1" customWidth="1"/>
  </cols>
  <sheetData>
    <row r="1" spans="1:6">
      <c r="A1" t="s">
        <v>44</v>
      </c>
      <c r="D1" s="59"/>
      <c r="E1" s="59"/>
      <c r="F1" s="59"/>
    </row>
    <row r="3" spans="1:6">
      <c r="A3" s="1" t="s">
        <v>69</v>
      </c>
      <c r="D3" s="84" t="s">
        <v>135</v>
      </c>
      <c r="E3" s="85"/>
      <c r="F3" s="81"/>
    </row>
    <row r="4" spans="1:6">
      <c r="A4" s="38" t="s">
        <v>123</v>
      </c>
      <c r="B4" s="2"/>
      <c r="C4" t="s">
        <v>0</v>
      </c>
      <c r="D4" s="56" t="s">
        <v>130</v>
      </c>
      <c r="E4" s="55" t="s">
        <v>136</v>
      </c>
      <c r="F4" s="59"/>
    </row>
    <row r="5" spans="1:6">
      <c r="A5" s="38" t="s">
        <v>124</v>
      </c>
      <c r="B5" s="2"/>
      <c r="C5" t="s">
        <v>1</v>
      </c>
      <c r="D5" s="58" t="s">
        <v>129</v>
      </c>
      <c r="E5" s="55" t="s">
        <v>137</v>
      </c>
      <c r="F5" s="59"/>
    </row>
    <row r="6" spans="1:6">
      <c r="A6" s="38">
        <v>2016</v>
      </c>
      <c r="B6" s="2"/>
      <c r="C6" t="s">
        <v>89</v>
      </c>
      <c r="D6" s="57" t="s">
        <v>128</v>
      </c>
      <c r="E6" s="55" t="s">
        <v>131</v>
      </c>
      <c r="F6" s="59"/>
    </row>
    <row r="7" spans="1:6">
      <c r="A7" s="38" t="s">
        <v>86</v>
      </c>
      <c r="B7" s="2"/>
      <c r="C7" t="s">
        <v>134</v>
      </c>
    </row>
    <row r="8" spans="1:6">
      <c r="A8" s="38">
        <v>2016</v>
      </c>
      <c r="B8" s="2"/>
      <c r="C8" t="s">
        <v>90</v>
      </c>
    </row>
    <row r="9" spans="1:6">
      <c r="A9" s="10">
        <v>35200</v>
      </c>
      <c r="B9" s="2"/>
      <c r="C9" t="s">
        <v>122</v>
      </c>
    </row>
    <row r="10" spans="1:6">
      <c r="A10" s="10">
        <v>500</v>
      </c>
      <c r="B10" s="2"/>
      <c r="C10" t="s">
        <v>5</v>
      </c>
    </row>
    <row r="11" spans="1:6">
      <c r="A11" s="41">
        <f>A9-A10</f>
        <v>34700</v>
      </c>
      <c r="B11" s="2"/>
      <c r="C11" t="s">
        <v>67</v>
      </c>
    </row>
    <row r="12" spans="1:6">
      <c r="A12" s="26">
        <v>4.4999999999999998E-2</v>
      </c>
      <c r="B12" s="2"/>
      <c r="C12" t="s">
        <v>4</v>
      </c>
    </row>
    <row r="13" spans="1:6">
      <c r="A13" s="10">
        <v>48</v>
      </c>
      <c r="B13" s="2"/>
      <c r="C13" t="s">
        <v>7</v>
      </c>
    </row>
    <row r="14" spans="1:6">
      <c r="A14" s="10">
        <v>0</v>
      </c>
      <c r="B14" s="2"/>
      <c r="C14" t="s">
        <v>107</v>
      </c>
    </row>
    <row r="15" spans="1:6">
      <c r="A15" s="10">
        <v>12828</v>
      </c>
      <c r="B15" s="1"/>
      <c r="C15" t="s">
        <v>126</v>
      </c>
    </row>
    <row r="16" spans="1:6">
      <c r="A16" s="1" t="s">
        <v>68</v>
      </c>
      <c r="B16" s="1"/>
    </row>
    <row r="17" spans="1:3">
      <c r="A17" s="4">
        <v>23.5</v>
      </c>
      <c r="B17" s="1"/>
      <c r="C17" t="s">
        <v>18</v>
      </c>
    </row>
    <row r="18" spans="1:3">
      <c r="A18" s="35">
        <v>35200</v>
      </c>
      <c r="B18" s="3"/>
      <c r="C18" t="s">
        <v>62</v>
      </c>
    </row>
    <row r="19" spans="1:3">
      <c r="A19" s="10">
        <v>150000</v>
      </c>
      <c r="B19" s="3"/>
      <c r="C19" t="s">
        <v>108</v>
      </c>
    </row>
    <row r="20" spans="1:3">
      <c r="A20" s="36">
        <v>10</v>
      </c>
      <c r="B20" s="3"/>
      <c r="C20" t="s">
        <v>109</v>
      </c>
    </row>
    <row r="21" spans="1:3">
      <c r="A21" s="45">
        <f>IF((A19-A30-A31)/A15&gt;A20,A20,(A19-A30-A31)/A15)</f>
        <v>10</v>
      </c>
      <c r="B21" s="1"/>
      <c r="C21" t="s">
        <v>110</v>
      </c>
    </row>
    <row r="22" spans="1:3">
      <c r="A22" s="1" t="s">
        <v>37</v>
      </c>
      <c r="B22" s="1"/>
    </row>
    <row r="23" spans="1:3">
      <c r="A23" s="40">
        <f>IF(1-0.1*(A21)&gt;=0.1,1-0.1*(A21),0.1)</f>
        <v>0.1</v>
      </c>
      <c r="B23" s="1"/>
      <c r="C23" t="s">
        <v>119</v>
      </c>
    </row>
    <row r="24" spans="1:3">
      <c r="A24" s="42">
        <f>IF(A18*A23&gt;A26,A18*A23,A26)</f>
        <v>3520</v>
      </c>
      <c r="B24" s="1"/>
      <c r="C24" t="s">
        <v>63</v>
      </c>
    </row>
    <row r="25" spans="1:3">
      <c r="A25" s="5">
        <v>0</v>
      </c>
      <c r="B25" s="1"/>
      <c r="C25" t="s">
        <v>24</v>
      </c>
    </row>
    <row r="26" spans="1:3">
      <c r="A26" s="5">
        <v>500</v>
      </c>
      <c r="B26" s="1"/>
      <c r="C26" t="s">
        <v>3</v>
      </c>
    </row>
    <row r="27" spans="1:3">
      <c r="A27" s="42">
        <f>IF(A25&gt;0,A25,MAX(A24,A26))</f>
        <v>3520</v>
      </c>
      <c r="B27" s="1"/>
      <c r="C27" t="s">
        <v>9</v>
      </c>
    </row>
    <row r="28" spans="1:3">
      <c r="A28" s="1" t="s">
        <v>58</v>
      </c>
      <c r="B28" s="1"/>
    </row>
    <row r="29" spans="1:3">
      <c r="A29" s="11">
        <v>2017</v>
      </c>
      <c r="B29" s="1"/>
      <c r="C29" t="s">
        <v>59</v>
      </c>
    </row>
    <row r="30" spans="1:3">
      <c r="A30" s="41">
        <f>A14</f>
        <v>0</v>
      </c>
      <c r="B30" s="1"/>
      <c r="C30" t="s">
        <v>64</v>
      </c>
    </row>
    <row r="31" spans="1:3">
      <c r="A31" s="41">
        <f>(A29-A8-0.5)*A15</f>
        <v>6414</v>
      </c>
      <c r="B31" s="1"/>
      <c r="C31" t="s">
        <v>65</v>
      </c>
    </row>
    <row r="32" spans="1:3">
      <c r="A32" s="41">
        <f>A21*A15</f>
        <v>128280</v>
      </c>
      <c r="B32" s="1"/>
      <c r="C32" t="s">
        <v>61</v>
      </c>
    </row>
    <row r="33" spans="1:4">
      <c r="A33" s="41">
        <f>A32+A31</f>
        <v>134694</v>
      </c>
      <c r="B33" s="1"/>
      <c r="C33" t="s">
        <v>60</v>
      </c>
    </row>
    <row r="34" spans="1:4">
      <c r="A34" s="41">
        <f>SUM(A30:A32)</f>
        <v>134694</v>
      </c>
      <c r="B34" s="1"/>
      <c r="C34" t="s">
        <v>66</v>
      </c>
    </row>
    <row r="35" spans="1:4">
      <c r="A35" s="1" t="s">
        <v>38</v>
      </c>
      <c r="B35" s="1"/>
    </row>
    <row r="36" spans="1:4">
      <c r="A36" s="42">
        <f>A11</f>
        <v>34700</v>
      </c>
      <c r="B36" s="1"/>
      <c r="C36" t="s">
        <v>6</v>
      </c>
    </row>
    <row r="37" spans="1:4">
      <c r="A37" s="43">
        <f>A12</f>
        <v>4.4999999999999998E-2</v>
      </c>
      <c r="B37" s="1"/>
      <c r="C37" t="s">
        <v>4</v>
      </c>
      <c r="D37" s="33"/>
    </row>
    <row r="38" spans="1:4">
      <c r="A38" s="43">
        <f>A37/12</f>
        <v>3.7499999999999999E-3</v>
      </c>
      <c r="B38" s="1"/>
      <c r="C38" t="s">
        <v>11</v>
      </c>
      <c r="D38" s="6"/>
    </row>
    <row r="39" spans="1:4">
      <c r="A39" s="44">
        <f>A13</f>
        <v>48</v>
      </c>
      <c r="B39" s="1"/>
      <c r="C39" t="s">
        <v>7</v>
      </c>
      <c r="D39" s="33"/>
    </row>
    <row r="40" spans="1:4">
      <c r="A40" s="42">
        <f>IF(A36&gt;0,IF(A37&gt;0,-CUMIPMT(A38,A39,A36,1,A39,0),0),0)</f>
        <v>3281.4864105695087</v>
      </c>
      <c r="B40" s="1"/>
      <c r="C40" t="s">
        <v>10</v>
      </c>
      <c r="D40" s="3"/>
    </row>
    <row r="41" spans="1:4">
      <c r="A41" s="1" t="s">
        <v>39</v>
      </c>
    </row>
    <row r="42" spans="1:4">
      <c r="A42" s="39" t="str">
        <f>A7</f>
        <v>Gasoline</v>
      </c>
      <c r="C42" t="s">
        <v>120</v>
      </c>
      <c r="D42" s="37" t="s">
        <v>127</v>
      </c>
    </row>
    <row r="43" spans="1:4">
      <c r="A43" s="12">
        <v>2.17</v>
      </c>
      <c r="B43" s="1"/>
      <c r="C43" t="s">
        <v>132</v>
      </c>
    </row>
    <row r="44" spans="1:4">
      <c r="A44" s="7">
        <v>2.2999999999999998</v>
      </c>
      <c r="B44" s="1"/>
      <c r="C44" t="s">
        <v>133</v>
      </c>
    </row>
    <row r="45" spans="1:4">
      <c r="A45" s="46">
        <f>IF(A44&gt;0,A44,A43)</f>
        <v>2.2999999999999998</v>
      </c>
      <c r="B45" s="1"/>
      <c r="C45" t="s">
        <v>97</v>
      </c>
    </row>
    <row r="46" spans="1:4">
      <c r="A46" s="47">
        <f>IF($A$42='fuel taxes'!$A$4,'fuel taxes'!A8,IF($A$42='fuel taxes'!$E$4,'fuel taxes'!E8,0))</f>
        <v>1.799029126213592</v>
      </c>
      <c r="B46" s="1"/>
      <c r="C46" t="s">
        <v>95</v>
      </c>
    </row>
    <row r="47" spans="1:4">
      <c r="A47" s="47">
        <f>IF($A$42='fuel taxes'!$A$4,'fuel taxes'!A9,IF($A$42='fuel taxes'!$E$4,'fuel taxes'!E9,0))</f>
        <v>0.184</v>
      </c>
      <c r="B47" s="1"/>
      <c r="C47" t="s">
        <v>54</v>
      </c>
    </row>
    <row r="48" spans="1:4">
      <c r="A48" s="47">
        <f>IF($A$42='fuel taxes'!$A$4,'fuel taxes'!A10,IF($A$42='fuel taxes'!$E$4,'fuel taxes'!E10,0))</f>
        <v>0.26300000000000001</v>
      </c>
      <c r="B48" s="1"/>
      <c r="C48" t="s">
        <v>88</v>
      </c>
    </row>
    <row r="49" spans="1:4">
      <c r="A49" s="47">
        <f>IF($A$42='fuel taxes'!$A$4,'fuel taxes'!A11,IF($A$42='fuel taxes'!$E$4,'fuel taxes'!E11,0))</f>
        <v>5.3970873786407761E-2</v>
      </c>
      <c r="B49" s="1"/>
      <c r="C49" t="s">
        <v>72</v>
      </c>
    </row>
    <row r="50" spans="1:4">
      <c r="A50" s="42">
        <f>SUM(A46:A49)</f>
        <v>2.2999999999999998</v>
      </c>
      <c r="B50" s="1"/>
      <c r="C50" t="s">
        <v>94</v>
      </c>
    </row>
    <row r="51" spans="1:4">
      <c r="A51" s="1" t="s">
        <v>31</v>
      </c>
    </row>
    <row r="52" spans="1:4">
      <c r="A52" s="54">
        <v>907.38</v>
      </c>
      <c r="B52" s="1"/>
      <c r="C52" t="s">
        <v>111</v>
      </c>
    </row>
    <row r="53" spans="1:4">
      <c r="A53" s="1" t="s">
        <v>40</v>
      </c>
    </row>
    <row r="54" spans="1:4">
      <c r="A54" s="13">
        <v>20</v>
      </c>
      <c r="C54" t="s">
        <v>41</v>
      </c>
    </row>
    <row r="55" spans="1:4">
      <c r="A55" s="4" t="s">
        <v>121</v>
      </c>
      <c r="C55" t="s">
        <v>114</v>
      </c>
      <c r="D55" t="s">
        <v>127</v>
      </c>
    </row>
    <row r="56" spans="1:4">
      <c r="A56" s="48">
        <f>IF(A55="yes",35,0)</f>
        <v>0</v>
      </c>
      <c r="C56" t="s">
        <v>57</v>
      </c>
    </row>
    <row r="57" spans="1:4">
      <c r="A57" s="49" t="str">
        <f>IF(A8&lt;2013,"Yes","No")</f>
        <v>No</v>
      </c>
      <c r="C57" t="s">
        <v>115</v>
      </c>
    </row>
    <row r="58" spans="1:4">
      <c r="A58" s="48">
        <f>IF(A57="yes",A18*0.4,0)</f>
        <v>0</v>
      </c>
      <c r="C58" t="s">
        <v>55</v>
      </c>
    </row>
    <row r="59" spans="1:4">
      <c r="A59" s="49">
        <f>'ad valorem'!A11</f>
        <v>27.754000000000001</v>
      </c>
      <c r="C59" t="s">
        <v>56</v>
      </c>
    </row>
    <row r="60" spans="1:4">
      <c r="A60" s="50">
        <f>A58*A59/1000</f>
        <v>0</v>
      </c>
      <c r="C60" t="s">
        <v>45</v>
      </c>
    </row>
    <row r="61" spans="1:4">
      <c r="A61" s="50">
        <f>A54+A56+A60</f>
        <v>20</v>
      </c>
      <c r="C61" t="s">
        <v>42</v>
      </c>
    </row>
    <row r="62" spans="1:4">
      <c r="A62" s="1" t="s">
        <v>43</v>
      </c>
    </row>
    <row r="63" spans="1:4">
      <c r="A63" s="7">
        <v>20</v>
      </c>
      <c r="C63" t="s">
        <v>13</v>
      </c>
    </row>
    <row r="64" spans="1:4">
      <c r="A64" s="1" t="s">
        <v>35</v>
      </c>
      <c r="B64" s="1"/>
    </row>
    <row r="65" spans="1:4">
      <c r="A65" s="7">
        <v>120</v>
      </c>
      <c r="C65" t="s">
        <v>91</v>
      </c>
    </row>
    <row r="66" spans="1:4">
      <c r="A66" s="10">
        <v>50000</v>
      </c>
      <c r="B66" s="1"/>
      <c r="C66" t="s">
        <v>23</v>
      </c>
    </row>
    <row r="67" spans="1:4">
      <c r="A67" s="50">
        <f>4*A65</f>
        <v>480</v>
      </c>
      <c r="C67" t="s">
        <v>92</v>
      </c>
    </row>
    <row r="68" spans="1:4">
      <c r="A68" s="1" t="s">
        <v>32</v>
      </c>
      <c r="B68" s="1"/>
    </row>
    <row r="69" spans="1:4">
      <c r="A69" s="34">
        <v>766.5</v>
      </c>
      <c r="B69" s="1"/>
      <c r="C69" t="s">
        <v>125</v>
      </c>
    </row>
    <row r="70" spans="1:4">
      <c r="A70" s="51">
        <f>A69/A15</f>
        <v>5.9752104770813844E-2</v>
      </c>
      <c r="B70" s="1"/>
      <c r="C70" t="s">
        <v>116</v>
      </c>
    </row>
    <row r="71" spans="1:4">
      <c r="A71" s="5">
        <v>0</v>
      </c>
      <c r="B71" s="1"/>
      <c r="C71" t="s">
        <v>117</v>
      </c>
    </row>
    <row r="72" spans="1:4">
      <c r="A72" s="51">
        <f>A71/A15</f>
        <v>0</v>
      </c>
      <c r="B72" s="1"/>
      <c r="C72" t="s">
        <v>118</v>
      </c>
    </row>
    <row r="73" spans="1:4">
      <c r="A73" s="51">
        <f>IF(A71&gt;0,A72,A70)</f>
        <v>5.9752104770813844E-2</v>
      </c>
      <c r="B73" s="1"/>
      <c r="C73" t="s">
        <v>33</v>
      </c>
      <c r="D73" s="9"/>
    </row>
    <row r="74" spans="1:4">
      <c r="A74" s="1" t="s">
        <v>34</v>
      </c>
      <c r="B74" s="1"/>
    </row>
    <row r="75" spans="1:4">
      <c r="A75" s="5">
        <v>0</v>
      </c>
      <c r="B75" s="1"/>
      <c r="C75" t="s">
        <v>20</v>
      </c>
    </row>
    <row r="76" spans="1:4">
      <c r="A76" s="4">
        <v>0</v>
      </c>
      <c r="B76" s="1"/>
      <c r="C76" t="s">
        <v>21</v>
      </c>
    </row>
    <row r="77" spans="1:4">
      <c r="A77" s="52">
        <f>A76*A75</f>
        <v>0</v>
      </c>
      <c r="B77" s="1"/>
      <c r="C77" t="s">
        <v>99</v>
      </c>
    </row>
    <row r="78" spans="1:4">
      <c r="A78" s="1" t="s">
        <v>98</v>
      </c>
      <c r="B78" s="1"/>
    </row>
    <row r="79" spans="1:4">
      <c r="A79" s="5">
        <v>0</v>
      </c>
      <c r="B79" s="1"/>
      <c r="C79" t="s">
        <v>101</v>
      </c>
    </row>
    <row r="80" spans="1:4">
      <c r="A80" s="5">
        <v>0</v>
      </c>
      <c r="B80" s="1"/>
      <c r="C80" t="s">
        <v>102</v>
      </c>
    </row>
    <row r="81" spans="1:8">
      <c r="A81" s="53">
        <f>SUM(A79:A80)</f>
        <v>0</v>
      </c>
      <c r="B81" s="1"/>
      <c r="C81" t="s">
        <v>100</v>
      </c>
    </row>
    <row r="82" spans="1:8">
      <c r="A82" s="1" t="s">
        <v>104</v>
      </c>
      <c r="B82" s="1"/>
    </row>
    <row r="83" spans="1:8">
      <c r="A83" s="5">
        <v>0</v>
      </c>
      <c r="B83" s="1"/>
      <c r="C83" t="s">
        <v>105</v>
      </c>
    </row>
    <row r="85" spans="1:8">
      <c r="A85" s="60" t="s">
        <v>36</v>
      </c>
    </row>
    <row r="86" spans="1:8">
      <c r="A86" s="61">
        <f>(A9-A27)/A33</f>
        <v>0.23519978618201257</v>
      </c>
      <c r="B86" s="62"/>
      <c r="C86" s="63" t="s">
        <v>2</v>
      </c>
      <c r="D86" s="64"/>
    </row>
    <row r="87" spans="1:8">
      <c r="A87" s="65">
        <f>A40/A33</f>
        <v>2.4362528476171982E-2</v>
      </c>
      <c r="B87" s="66"/>
      <c r="C87" s="67" t="s">
        <v>8</v>
      </c>
      <c r="D87" s="68"/>
    </row>
    <row r="88" spans="1:8">
      <c r="A88" s="65">
        <f>A15/A17*A45/A15</f>
        <v>9.7872340425531903E-2</v>
      </c>
      <c r="B88" s="66"/>
      <c r="C88" s="67" t="s">
        <v>16</v>
      </c>
      <c r="D88" s="68"/>
    </row>
    <row r="89" spans="1:8">
      <c r="A89" s="65">
        <f>A52/A15</f>
        <v>7.0734331150608051E-2</v>
      </c>
      <c r="B89" s="66"/>
      <c r="C89" s="67" t="s">
        <v>15</v>
      </c>
      <c r="D89" s="68"/>
    </row>
    <row r="90" spans="1:8">
      <c r="A90" s="65">
        <f>A61/A15</f>
        <v>1.5590894917368258E-3</v>
      </c>
      <c r="B90" s="66"/>
      <c r="C90" s="67" t="s">
        <v>12</v>
      </c>
      <c r="D90" s="68"/>
    </row>
    <row r="91" spans="1:8">
      <c r="A91" s="65">
        <f>A63/A15</f>
        <v>1.5590894917368258E-3</v>
      </c>
      <c r="B91" s="66"/>
      <c r="C91" s="67" t="s">
        <v>13</v>
      </c>
      <c r="D91" s="68"/>
    </row>
    <row r="92" spans="1:8">
      <c r="A92" s="65">
        <f>A67/A66</f>
        <v>9.5999999999999992E-3</v>
      </c>
      <c r="B92" s="66"/>
      <c r="C92" s="67" t="s">
        <v>22</v>
      </c>
      <c r="D92" s="68"/>
      <c r="H92" s="33"/>
    </row>
    <row r="93" spans="1:8">
      <c r="A93" s="65">
        <f>A73</f>
        <v>5.9752104770813844E-2</v>
      </c>
      <c r="B93" s="66"/>
      <c r="C93" s="67" t="s">
        <v>14</v>
      </c>
      <c r="D93" s="68"/>
    </row>
    <row r="94" spans="1:8">
      <c r="A94" s="65">
        <f>A77/A15</f>
        <v>0</v>
      </c>
      <c r="B94" s="66"/>
      <c r="C94" s="67" t="s">
        <v>19</v>
      </c>
      <c r="D94" s="68"/>
    </row>
    <row r="95" spans="1:8">
      <c r="A95" s="65">
        <f>A81*12/A15</f>
        <v>0</v>
      </c>
      <c r="B95" s="66"/>
      <c r="C95" s="67" t="s">
        <v>103</v>
      </c>
      <c r="D95" s="68"/>
      <c r="H95" s="33"/>
    </row>
    <row r="96" spans="1:8">
      <c r="A96" s="65">
        <f>A83/A15*12</f>
        <v>0</v>
      </c>
      <c r="B96" s="66"/>
      <c r="C96" s="67" t="s">
        <v>106</v>
      </c>
      <c r="D96" s="68"/>
    </row>
    <row r="97" spans="1:8">
      <c r="A97" s="69">
        <f>SUM(A86:A96)</f>
        <v>0.50063926998861197</v>
      </c>
      <c r="B97" s="70"/>
      <c r="C97" s="71" t="s">
        <v>17</v>
      </c>
      <c r="D97" s="72"/>
    </row>
    <row r="98" spans="1:8" ht="6" customHeight="1">
      <c r="A98" s="2"/>
      <c r="B98" s="1"/>
      <c r="D98" s="1"/>
    </row>
    <row r="99" spans="1:8">
      <c r="A99" s="2"/>
      <c r="B99" s="1"/>
      <c r="D99" s="1"/>
      <c r="E99" s="79" t="s">
        <v>138</v>
      </c>
      <c r="F99" s="82"/>
      <c r="G99" s="73"/>
      <c r="H99" s="74"/>
    </row>
    <row r="100" spans="1:8">
      <c r="A100" s="60" t="s">
        <v>36</v>
      </c>
      <c r="D100" s="1"/>
      <c r="E100" s="75" t="str">
        <f>CONCATENATE("Vehicle Operating Cost = ",H115,"/mile")</f>
        <v>Vehicle Operating Cost = 50.1 ¢/mile</v>
      </c>
      <c r="F100" s="59"/>
      <c r="G100" s="59"/>
      <c r="H100" s="76" t="s">
        <v>87</v>
      </c>
    </row>
    <row r="101" spans="1:8">
      <c r="A101" s="61">
        <f>(A9-A27)/A33</f>
        <v>0.23519978618201257</v>
      </c>
      <c r="B101" s="62"/>
      <c r="C101" s="63" t="s">
        <v>2</v>
      </c>
      <c r="D101" s="64">
        <f>A101/$A$97</f>
        <v>0.46979891566908577</v>
      </c>
      <c r="E101" s="59" t="str">
        <f>CONCATENATE(C101," (",ROUND(D101*100,1),"%)")</f>
        <v>Depreciation (47%)</v>
      </c>
      <c r="F101" s="77">
        <f>IF(G101=0,#N/A, G101)</f>
        <v>0.23519978618201257</v>
      </c>
      <c r="G101" s="83">
        <f>A101</f>
        <v>0.23519978618201257</v>
      </c>
      <c r="H101" s="76" t="str">
        <f t="shared" ref="H101:H114" si="0">CONCATENATE(ROUND(A101*100,1)," ",$H$100)</f>
        <v>23.5 ¢</v>
      </c>
    </row>
    <row r="102" spans="1:8">
      <c r="A102" s="65">
        <f>A40/A33</f>
        <v>2.4362528476171982E-2</v>
      </c>
      <c r="B102" s="66"/>
      <c r="C102" s="67" t="s">
        <v>8</v>
      </c>
      <c r="D102" s="68">
        <f t="shared" ref="D102:D115" si="1">A102/$A$97</f>
        <v>4.8662839566552887E-2</v>
      </c>
      <c r="E102" s="59" t="str">
        <f t="shared" ref="E102:E115" si="2">CONCATENATE(C102," (",ROUND(D102*100,1),"%)")</f>
        <v>Interest (4.9%)</v>
      </c>
      <c r="F102" s="77">
        <f t="shared" ref="F102:F115" si="3">IF(G102=0,#N/A, G102)</f>
        <v>2.4362528476171982E-2</v>
      </c>
      <c r="G102" s="83">
        <f t="shared" ref="G102:G115" si="4">A102</f>
        <v>2.4362528476171982E-2</v>
      </c>
      <c r="H102" s="76" t="str">
        <f t="shared" si="0"/>
        <v>2.4 ¢</v>
      </c>
    </row>
    <row r="103" spans="1:8">
      <c r="A103" s="65">
        <f>A15/A17*A46/A15</f>
        <v>7.6554430902706042E-2</v>
      </c>
      <c r="B103" s="66"/>
      <c r="C103" s="67" t="s">
        <v>96</v>
      </c>
      <c r="D103" s="68">
        <f t="shared" si="1"/>
        <v>0.15291335596675712</v>
      </c>
      <c r="E103" s="59" t="str">
        <f t="shared" si="2"/>
        <v>Fuel (pre-tax) (15.3%)</v>
      </c>
      <c r="F103" s="77">
        <f t="shared" si="3"/>
        <v>7.6554430902706042E-2</v>
      </c>
      <c r="G103" s="83">
        <f t="shared" si="4"/>
        <v>7.6554430902706042E-2</v>
      </c>
      <c r="H103" s="76" t="str">
        <f t="shared" si="0"/>
        <v>7.7 ¢</v>
      </c>
    </row>
    <row r="104" spans="1:8">
      <c r="A104" s="65">
        <f>A15/A17*A47/A15</f>
        <v>7.8297872340425522E-3</v>
      </c>
      <c r="B104" s="66"/>
      <c r="C104" s="67" t="s">
        <v>54</v>
      </c>
      <c r="D104" s="68">
        <f t="shared" si="1"/>
        <v>1.5639578641564927E-2</v>
      </c>
      <c r="E104" s="59" t="str">
        <f t="shared" si="2"/>
        <v>Federal Excise Tax (1.6%)</v>
      </c>
      <c r="F104" s="77">
        <f t="shared" si="3"/>
        <v>7.8297872340425522E-3</v>
      </c>
      <c r="G104" s="83">
        <f t="shared" si="4"/>
        <v>7.8297872340425522E-3</v>
      </c>
      <c r="H104" s="76" t="str">
        <f t="shared" si="0"/>
        <v>0.8 ¢</v>
      </c>
    </row>
    <row r="105" spans="1:8">
      <c r="A105" s="65">
        <f>A15/A17*A48/A15</f>
        <v>1.1191489361702129E-2</v>
      </c>
      <c r="B105" s="66"/>
      <c r="C105" s="67" t="s">
        <v>88</v>
      </c>
      <c r="D105" s="68">
        <f t="shared" si="1"/>
        <v>2.2354397732236828E-2</v>
      </c>
      <c r="E105" s="59" t="str">
        <f t="shared" si="2"/>
        <v>Georgia Excise Tax (2.2%)</v>
      </c>
      <c r="F105" s="77">
        <f t="shared" si="3"/>
        <v>1.1191489361702129E-2</v>
      </c>
      <c r="G105" s="83">
        <f t="shared" si="4"/>
        <v>1.1191489361702129E-2</v>
      </c>
      <c r="H105" s="76" t="str">
        <f t="shared" si="0"/>
        <v>1.1 ¢</v>
      </c>
    </row>
    <row r="106" spans="1:8">
      <c r="A106" s="65">
        <f>A15/A17*A49/A15</f>
        <v>2.2966329270811812E-3</v>
      </c>
      <c r="B106" s="66"/>
      <c r="C106" s="67" t="s">
        <v>72</v>
      </c>
      <c r="D106" s="68">
        <f t="shared" si="1"/>
        <v>4.5874006790027136E-3</v>
      </c>
      <c r="E106" s="59" t="str">
        <f t="shared" si="2"/>
        <v>County Sales Tax (0.5%)</v>
      </c>
      <c r="F106" s="77">
        <f t="shared" si="3"/>
        <v>2.2966329270811812E-3</v>
      </c>
      <c r="G106" s="83">
        <f t="shared" si="4"/>
        <v>2.2966329270811812E-3</v>
      </c>
      <c r="H106" s="76" t="str">
        <f t="shared" si="0"/>
        <v>0.2 ¢</v>
      </c>
    </row>
    <row r="107" spans="1:8">
      <c r="A107" s="65">
        <f>A52/A15</f>
        <v>7.0734331150608051E-2</v>
      </c>
      <c r="B107" s="66"/>
      <c r="C107" s="67" t="s">
        <v>15</v>
      </c>
      <c r="D107" s="68">
        <f t="shared" si="1"/>
        <v>0.14128801991944628</v>
      </c>
      <c r="E107" s="59" t="str">
        <f>CONCATENATE(C107," (",ROUND(D107*100,1),"%)")</f>
        <v>Insurance (14.1%)</v>
      </c>
      <c r="F107" s="77">
        <f t="shared" si="3"/>
        <v>7.0734331150608051E-2</v>
      </c>
      <c r="G107" s="83">
        <f t="shared" si="4"/>
        <v>7.0734331150608051E-2</v>
      </c>
      <c r="H107" s="76" t="str">
        <f t="shared" si="0"/>
        <v>7.1 ¢</v>
      </c>
    </row>
    <row r="108" spans="1:8">
      <c r="A108" s="65">
        <f>A61/A15</f>
        <v>1.5590894917368258E-3</v>
      </c>
      <c r="B108" s="66"/>
      <c r="C108" s="67" t="s">
        <v>12</v>
      </c>
      <c r="D108" s="68">
        <f t="shared" si="1"/>
        <v>3.1141973576549247E-3</v>
      </c>
      <c r="E108" s="59" t="str">
        <f t="shared" si="2"/>
        <v>Registration (0.3%)</v>
      </c>
      <c r="F108" s="77">
        <f t="shared" si="3"/>
        <v>1.5590894917368258E-3</v>
      </c>
      <c r="G108" s="83">
        <f t="shared" si="4"/>
        <v>1.5590894917368258E-3</v>
      </c>
      <c r="H108" s="76" t="str">
        <f t="shared" si="0"/>
        <v>0.2 ¢</v>
      </c>
    </row>
    <row r="109" spans="1:8">
      <c r="A109" s="65">
        <f>A63/A15</f>
        <v>1.5590894917368258E-3</v>
      </c>
      <c r="B109" s="66"/>
      <c r="C109" s="67" t="s">
        <v>13</v>
      </c>
      <c r="D109" s="68">
        <f t="shared" si="1"/>
        <v>3.1141973576549247E-3</v>
      </c>
      <c r="E109" s="59" t="str">
        <f t="shared" si="2"/>
        <v>Smog Check (0.3%)</v>
      </c>
      <c r="F109" s="77">
        <f t="shared" si="3"/>
        <v>1.5590894917368258E-3</v>
      </c>
      <c r="G109" s="83">
        <f t="shared" si="4"/>
        <v>1.5590894917368258E-3</v>
      </c>
      <c r="H109" s="76" t="str">
        <f t="shared" si="0"/>
        <v>0.2 ¢</v>
      </c>
    </row>
    <row r="110" spans="1:8">
      <c r="A110" s="65">
        <f>A67/A66</f>
        <v>9.5999999999999992E-3</v>
      </c>
      <c r="B110" s="66"/>
      <c r="C110" s="67" t="s">
        <v>22</v>
      </c>
      <c r="D110" s="68">
        <f t="shared" si="1"/>
        <v>1.9175483377918735E-2</v>
      </c>
      <c r="E110" s="59" t="str">
        <f t="shared" si="2"/>
        <v>Tires (1.9%)</v>
      </c>
      <c r="F110" s="77">
        <f t="shared" si="3"/>
        <v>9.5999999999999992E-3</v>
      </c>
      <c r="G110" s="83">
        <f t="shared" si="4"/>
        <v>9.5999999999999992E-3</v>
      </c>
      <c r="H110" s="76" t="str">
        <f t="shared" si="0"/>
        <v>1 ¢</v>
      </c>
    </row>
    <row r="111" spans="1:8">
      <c r="A111" s="65">
        <f>A73</f>
        <v>5.9752104770813844E-2</v>
      </c>
      <c r="B111" s="66"/>
      <c r="C111" s="67" t="s">
        <v>14</v>
      </c>
      <c r="D111" s="68">
        <f t="shared" si="1"/>
        <v>0.11935161373212498</v>
      </c>
      <c r="E111" s="59" t="str">
        <f t="shared" si="2"/>
        <v>Maintenance (11.9%)</v>
      </c>
      <c r="F111" s="77">
        <f t="shared" si="3"/>
        <v>5.9752104770813844E-2</v>
      </c>
      <c r="G111" s="83">
        <f t="shared" si="4"/>
        <v>5.9752104770813844E-2</v>
      </c>
      <c r="H111" s="76" t="str">
        <f t="shared" si="0"/>
        <v>6 ¢</v>
      </c>
    </row>
    <row r="112" spans="1:8">
      <c r="A112" s="65">
        <f>A77/A15</f>
        <v>0</v>
      </c>
      <c r="B112" s="66"/>
      <c r="C112" s="67" t="s">
        <v>19</v>
      </c>
      <c r="D112" s="68">
        <f t="shared" si="1"/>
        <v>0</v>
      </c>
      <c r="E112" s="59" t="str">
        <f t="shared" si="2"/>
        <v>Car Washes (0%)</v>
      </c>
      <c r="F112" s="77" t="e">
        <f>IF(G112=0,#N/A, G112)</f>
        <v>#N/A</v>
      </c>
      <c r="G112" s="83">
        <f t="shared" si="4"/>
        <v>0</v>
      </c>
      <c r="H112" s="76" t="str">
        <f t="shared" si="0"/>
        <v>0 ¢</v>
      </c>
    </row>
    <row r="113" spans="1:8">
      <c r="A113" s="65">
        <f>A81*12/A15</f>
        <v>0</v>
      </c>
      <c r="B113" s="66"/>
      <c r="C113" s="67" t="s">
        <v>103</v>
      </c>
      <c r="D113" s="68">
        <f t="shared" si="1"/>
        <v>0</v>
      </c>
      <c r="E113" s="59" t="str">
        <f t="shared" si="2"/>
        <v>Parking (0%)</v>
      </c>
      <c r="F113" s="77" t="e">
        <f t="shared" si="3"/>
        <v>#N/A</v>
      </c>
      <c r="G113" s="83">
        <f t="shared" si="4"/>
        <v>0</v>
      </c>
      <c r="H113" s="76" t="str">
        <f t="shared" si="0"/>
        <v>0 ¢</v>
      </c>
    </row>
    <row r="114" spans="1:8">
      <c r="A114" s="65">
        <f>A83/A15*12</f>
        <v>0</v>
      </c>
      <c r="B114" s="66"/>
      <c r="C114" s="67" t="s">
        <v>106</v>
      </c>
      <c r="D114" s="68">
        <f t="shared" si="1"/>
        <v>0</v>
      </c>
      <c r="E114" s="59" t="str">
        <f t="shared" si="2"/>
        <v>Tolls (0%)</v>
      </c>
      <c r="F114" s="77" t="e">
        <f t="shared" si="3"/>
        <v>#N/A</v>
      </c>
      <c r="G114" s="83">
        <f t="shared" si="4"/>
        <v>0</v>
      </c>
      <c r="H114" s="76" t="str">
        <f t="shared" si="0"/>
        <v>0 ¢</v>
      </c>
    </row>
    <row r="115" spans="1:8">
      <c r="A115" s="69">
        <f>SUM(A101:A114)</f>
        <v>0.50063926998861197</v>
      </c>
      <c r="B115" s="70"/>
      <c r="C115" s="71" t="s">
        <v>17</v>
      </c>
      <c r="D115" s="72">
        <f t="shared" si="1"/>
        <v>1</v>
      </c>
      <c r="E115" s="80" t="str">
        <f t="shared" si="2"/>
        <v>Total (100%)</v>
      </c>
      <c r="F115" s="77">
        <f t="shared" si="3"/>
        <v>0.50063926998861197</v>
      </c>
      <c r="G115" s="83">
        <f t="shared" si="4"/>
        <v>0.50063926998861197</v>
      </c>
      <c r="H115" s="78" t="str">
        <f>CONCATENATE(ROUND(A115*100,1)," ",$H$100)</f>
        <v>50.1 ¢</v>
      </c>
    </row>
    <row r="118" spans="1:8">
      <c r="A118">
        <f>120*4/50000</f>
        <v>9.5999999999999992E-3</v>
      </c>
    </row>
  </sheetData>
  <mergeCells count="1">
    <mergeCell ref="D3:E3"/>
  </mergeCells>
  <phoneticPr fontId="6" type="noConversion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'fuel taxes'!$A$29:$A$30</xm:f>
          </x14:formula1>
          <xm:sqref>A42 A7</xm:sqref>
        </x14:dataValidation>
        <x14:dataValidation type="list" allowBlank="1" showInputMessage="1" showErrorMessage="1">
          <x14:formula1>
            <xm:f>'ad valorem'!$A$13:$A$14</xm:f>
          </x14:formula1>
          <xm:sqref>A55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3"/>
  <sheetViews>
    <sheetView workbookViewId="0">
      <selection activeCell="A7" sqref="A7"/>
    </sheetView>
  </sheetViews>
  <sheetFormatPr defaultRowHeight="14.5"/>
  <cols>
    <col min="1" max="1" width="10.81640625" customWidth="1"/>
    <col min="2" max="2" width="22.7265625" customWidth="1"/>
    <col min="3" max="3" width="7.1796875" customWidth="1"/>
    <col min="4" max="4" width="2.453125" customWidth="1"/>
    <col min="5" max="5" width="10.81640625" customWidth="1"/>
    <col min="6" max="6" width="22.7265625" customWidth="1"/>
    <col min="7" max="7" width="7.1796875" customWidth="1"/>
    <col min="8" max="8" width="2.453125" customWidth="1"/>
  </cols>
  <sheetData>
    <row r="1" spans="1:9">
      <c r="A1" t="s">
        <v>73</v>
      </c>
    </row>
    <row r="2" spans="1:9">
      <c r="A2" s="24">
        <v>0.03</v>
      </c>
      <c r="B2" t="s">
        <v>71</v>
      </c>
      <c r="E2" s="24">
        <v>0.03</v>
      </c>
      <c r="F2" t="s">
        <v>71</v>
      </c>
    </row>
    <row r="3" spans="1:9">
      <c r="A3" s="24"/>
      <c r="E3" s="24"/>
    </row>
    <row r="4" spans="1:9">
      <c r="A4" t="s">
        <v>86</v>
      </c>
      <c r="E4" t="s">
        <v>93</v>
      </c>
      <c r="I4">
        <f>((A6-A9-A10)/(1+A2))</f>
        <v>1.799029126213592</v>
      </c>
    </row>
    <row r="5" spans="1:9">
      <c r="A5" t="s">
        <v>81</v>
      </c>
      <c r="E5" t="s">
        <v>81</v>
      </c>
    </row>
    <row r="6" spans="1:9">
      <c r="A6" s="32">
        <f>calculations!A45</f>
        <v>2.2999999999999998</v>
      </c>
      <c r="B6" t="s">
        <v>85</v>
      </c>
      <c r="C6" s="23">
        <f>A6/A$6</f>
        <v>1</v>
      </c>
      <c r="E6" s="32">
        <f>calculations!A45</f>
        <v>2.2999999999999998</v>
      </c>
      <c r="F6" t="s">
        <v>85</v>
      </c>
      <c r="G6" s="23">
        <f>E6/E$6</f>
        <v>1</v>
      </c>
    </row>
    <row r="7" spans="1:9">
      <c r="A7" s="31">
        <f>IF(((A6-A9-A10)/(1+A2))&gt;3,3,((A6-A9-A10)/(1+A2)))</f>
        <v>1.799029126213592</v>
      </c>
      <c r="B7" t="s">
        <v>84</v>
      </c>
      <c r="C7" s="23"/>
      <c r="E7" s="31">
        <f>IF(((E6-E9-E10)/(1+E2))&gt;3,3,((E6-E9-E10)/(1+E2)))</f>
        <v>1.7106796116504854</v>
      </c>
      <c r="F7" t="s">
        <v>84</v>
      </c>
      <c r="G7" s="23"/>
    </row>
    <row r="8" spans="1:9">
      <c r="A8" s="30">
        <f>(A6-A9-A10-A11)</f>
        <v>1.799029126213592</v>
      </c>
      <c r="B8" t="s">
        <v>75</v>
      </c>
      <c r="C8" s="23">
        <f>A8/A$6</f>
        <v>0.78218657661460533</v>
      </c>
      <c r="E8" s="30">
        <f>(E6-E9-E10-E11)</f>
        <v>1.7106796116504854</v>
      </c>
      <c r="F8" t="s">
        <v>76</v>
      </c>
      <c r="G8" s="23">
        <f>E8/E$6</f>
        <v>0.74377374419586328</v>
      </c>
    </row>
    <row r="9" spans="1:9">
      <c r="A9" s="31">
        <v>0.184</v>
      </c>
      <c r="B9" t="s">
        <v>54</v>
      </c>
      <c r="C9" s="23">
        <f>A9/A$6</f>
        <v>0.08</v>
      </c>
      <c r="D9" s="22"/>
      <c r="E9" s="31">
        <v>0.24399999999999999</v>
      </c>
      <c r="F9" t="s">
        <v>54</v>
      </c>
      <c r="G9" s="23">
        <f>E9/E$6</f>
        <v>0.10608695652173913</v>
      </c>
      <c r="H9" s="22"/>
    </row>
    <row r="10" spans="1:9">
      <c r="A10" s="31">
        <v>0.26300000000000001</v>
      </c>
      <c r="B10" t="s">
        <v>53</v>
      </c>
      <c r="C10" s="23">
        <f>A10/A$6</f>
        <v>0.11434782608695654</v>
      </c>
      <c r="D10" s="22"/>
      <c r="E10" s="31">
        <v>0.29399999999999998</v>
      </c>
      <c r="F10" t="s">
        <v>53</v>
      </c>
      <c r="G10" s="23">
        <f>E10/E$6</f>
        <v>0.12782608695652173</v>
      </c>
      <c r="H10" s="22"/>
    </row>
    <row r="11" spans="1:9">
      <c r="A11" s="30">
        <f>A7*A2</f>
        <v>5.3970873786407761E-2</v>
      </c>
      <c r="B11" t="s">
        <v>72</v>
      </c>
      <c r="C11" s="23">
        <f>A11/A$6</f>
        <v>2.3465597298438157E-2</v>
      </c>
      <c r="E11" s="30">
        <f>E7*E2</f>
        <v>5.1320388349514558E-2</v>
      </c>
      <c r="F11" t="s">
        <v>72</v>
      </c>
      <c r="G11" s="23">
        <f>E11/E$6</f>
        <v>2.2313212325875895E-2</v>
      </c>
      <c r="I11" t="s">
        <v>70</v>
      </c>
    </row>
    <row r="12" spans="1:9" ht="3" customHeight="1">
      <c r="A12" s="27"/>
      <c r="C12" s="23"/>
      <c r="D12" s="22"/>
      <c r="E12" s="27"/>
      <c r="G12" s="23"/>
      <c r="H12" s="22"/>
    </row>
    <row r="13" spans="1:9">
      <c r="B13" t="s">
        <v>82</v>
      </c>
      <c r="C13" s="28">
        <f>C8</f>
        <v>0.78218657661460533</v>
      </c>
      <c r="F13" t="s">
        <v>82</v>
      </c>
      <c r="G13" s="28">
        <f>G8</f>
        <v>0.74377374419586328</v>
      </c>
    </row>
    <row r="14" spans="1:9">
      <c r="B14" t="s">
        <v>83</v>
      </c>
      <c r="C14" s="28">
        <f>1-C13</f>
        <v>0.21781342338539467</v>
      </c>
      <c r="F14" t="s">
        <v>83</v>
      </c>
      <c r="G14" s="28">
        <f>1-G13</f>
        <v>0.25622625580413672</v>
      </c>
    </row>
    <row r="16" spans="1:9">
      <c r="A16" t="s">
        <v>80</v>
      </c>
      <c r="E16" t="s">
        <v>80</v>
      </c>
    </row>
    <row r="17" spans="1:9">
      <c r="A17" s="29">
        <v>1.6922330097087377</v>
      </c>
      <c r="B17" t="s">
        <v>75</v>
      </c>
      <c r="C17" s="23">
        <f>A17/A$22</f>
        <v>0.77270913685330489</v>
      </c>
      <c r="D17" s="22"/>
      <c r="E17" s="29">
        <v>1.7980582524271846</v>
      </c>
      <c r="F17" t="s">
        <v>76</v>
      </c>
      <c r="G17" s="23">
        <f>C17/C$22</f>
        <v>0.77270913685330489</v>
      </c>
      <c r="H17" s="22"/>
    </row>
    <row r="18" spans="1:9">
      <c r="A18" s="31">
        <f>IF(A17&gt;3,3,A17)</f>
        <v>1.6922330097087377</v>
      </c>
      <c r="B18" t="s">
        <v>84</v>
      </c>
      <c r="C18" s="23"/>
      <c r="E18" s="31">
        <f>IF(E17&gt;3,3,E17)</f>
        <v>1.7980582524271846</v>
      </c>
      <c r="F18" t="s">
        <v>84</v>
      </c>
      <c r="G18" s="23"/>
      <c r="H18" s="22"/>
    </row>
    <row r="19" spans="1:9">
      <c r="A19" s="30">
        <f>A18*A2</f>
        <v>5.076699029126213E-2</v>
      </c>
      <c r="B19" t="s">
        <v>72</v>
      </c>
      <c r="C19" s="23">
        <f t="shared" ref="C19:C22" si="0">A19/A$22</f>
        <v>2.3181274105599146E-2</v>
      </c>
      <c r="D19" s="22"/>
      <c r="E19" s="30">
        <f>E18*E2</f>
        <v>5.3941747572815536E-2</v>
      </c>
      <c r="F19" t="s">
        <v>72</v>
      </c>
      <c r="G19" s="23">
        <f t="shared" ref="G19:G22" si="1">C19/C$22</f>
        <v>2.3181274105599146E-2</v>
      </c>
      <c r="H19" s="22"/>
      <c r="I19" t="s">
        <v>70</v>
      </c>
    </row>
    <row r="20" spans="1:9">
      <c r="A20" s="31">
        <v>0.26300000000000001</v>
      </c>
      <c r="B20" t="s">
        <v>53</v>
      </c>
      <c r="C20" s="23">
        <f t="shared" si="0"/>
        <v>0.12009132420091324</v>
      </c>
      <c r="D20" s="22"/>
      <c r="E20" s="31">
        <v>0.29399999999999998</v>
      </c>
      <c r="F20" t="s">
        <v>53</v>
      </c>
      <c r="G20" s="23">
        <f t="shared" si="1"/>
        <v>0.12009132420091324</v>
      </c>
      <c r="H20" s="22"/>
    </row>
    <row r="21" spans="1:9">
      <c r="A21" s="31">
        <v>0.184</v>
      </c>
      <c r="B21" t="s">
        <v>54</v>
      </c>
      <c r="C21" s="23">
        <f t="shared" si="0"/>
        <v>8.4018264840182655E-2</v>
      </c>
      <c r="D21" s="22"/>
      <c r="E21" s="31">
        <v>0.24399999999999999</v>
      </c>
      <c r="F21" t="s">
        <v>54</v>
      </c>
      <c r="G21" s="23">
        <f t="shared" si="1"/>
        <v>8.4018264840182655E-2</v>
      </c>
      <c r="H21" s="22"/>
    </row>
    <row r="22" spans="1:9">
      <c r="A22" s="30">
        <f>A17+A19+A20+A21</f>
        <v>2.19</v>
      </c>
      <c r="B22" t="s">
        <v>74</v>
      </c>
      <c r="C22" s="23">
        <f t="shared" si="0"/>
        <v>1</v>
      </c>
      <c r="D22" s="22"/>
      <c r="E22" s="30">
        <f>E17+E19+E20+E21</f>
        <v>2.3899999999999997</v>
      </c>
      <c r="F22" t="s">
        <v>74</v>
      </c>
      <c r="G22" s="23">
        <f t="shared" si="1"/>
        <v>1</v>
      </c>
      <c r="H22" s="22"/>
    </row>
    <row r="23" spans="1:9" ht="3" customHeight="1">
      <c r="A23" s="27"/>
      <c r="C23" s="23"/>
      <c r="D23" s="22"/>
      <c r="E23" s="27"/>
      <c r="G23" s="23"/>
      <c r="H23" s="22"/>
    </row>
    <row r="24" spans="1:9">
      <c r="B24" t="s">
        <v>82</v>
      </c>
      <c r="C24" s="28">
        <f>C17</f>
        <v>0.77270913685330489</v>
      </c>
      <c r="F24" t="s">
        <v>82</v>
      </c>
      <c r="G24" s="28">
        <f>G17</f>
        <v>0.77270913685330489</v>
      </c>
    </row>
    <row r="25" spans="1:9">
      <c r="B25" t="s">
        <v>83</v>
      </c>
      <c r="C25" s="28">
        <f>1-C24</f>
        <v>0.22729086314669511</v>
      </c>
      <c r="F25" t="s">
        <v>83</v>
      </c>
      <c r="G25" s="28">
        <f>1-G24</f>
        <v>0.22729086314669511</v>
      </c>
    </row>
    <row r="27" spans="1:9">
      <c r="A27">
        <v>2.1800000000000002</v>
      </c>
    </row>
    <row r="29" spans="1:9">
      <c r="A29" t="s">
        <v>86</v>
      </c>
    </row>
    <row r="30" spans="1:9">
      <c r="A30" t="s">
        <v>93</v>
      </c>
    </row>
    <row r="33" ht="3" customHeight="1"/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4"/>
  <sheetViews>
    <sheetView workbookViewId="0">
      <selection activeCell="H22" sqref="H22"/>
    </sheetView>
  </sheetViews>
  <sheetFormatPr defaultRowHeight="14.5"/>
  <cols>
    <col min="1" max="1" width="13" customWidth="1"/>
  </cols>
  <sheetData>
    <row r="1" spans="1:3">
      <c r="A1" t="s">
        <v>46</v>
      </c>
    </row>
    <row r="2" spans="1:3">
      <c r="A2">
        <v>2013</v>
      </c>
      <c r="B2" s="21">
        <v>6.5000000000000002E-2</v>
      </c>
      <c r="C2" t="s">
        <v>47</v>
      </c>
    </row>
    <row r="3" spans="1:3">
      <c r="A3">
        <v>2014</v>
      </c>
      <c r="B3" s="24">
        <v>6.7500000000000004E-2</v>
      </c>
    </row>
    <row r="4" spans="1:3">
      <c r="A4">
        <v>2015</v>
      </c>
      <c r="B4" s="24">
        <v>7.0000000000000007E-2</v>
      </c>
    </row>
    <row r="5" spans="1:3">
      <c r="A5">
        <v>2016</v>
      </c>
      <c r="B5" s="24">
        <v>7.0000000000000007E-2</v>
      </c>
    </row>
    <row r="6" spans="1:3">
      <c r="A6">
        <v>2017</v>
      </c>
      <c r="B6" s="24">
        <v>7.0000000000000007E-2</v>
      </c>
    </row>
    <row r="8" spans="1:3">
      <c r="A8" t="s">
        <v>48</v>
      </c>
    </row>
    <row r="9" spans="1:3">
      <c r="A9" t="s">
        <v>51</v>
      </c>
    </row>
    <row r="10" spans="1:3">
      <c r="A10" s="1" t="s">
        <v>52</v>
      </c>
      <c r="B10" s="1" t="s">
        <v>50</v>
      </c>
    </row>
    <row r="11" spans="1:3">
      <c r="A11" s="25">
        <v>27.754000000000001</v>
      </c>
      <c r="B11" t="s">
        <v>49</v>
      </c>
    </row>
    <row r="13" spans="1:3">
      <c r="A13" t="s">
        <v>112</v>
      </c>
    </row>
    <row r="14" spans="1:3">
      <c r="A14" t="s">
        <v>113</v>
      </c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7"/>
  <sheetViews>
    <sheetView workbookViewId="0">
      <selection activeCell="C16" sqref="C16"/>
    </sheetView>
  </sheetViews>
  <sheetFormatPr defaultRowHeight="14.5"/>
  <cols>
    <col min="2" max="2" width="1.81640625" customWidth="1"/>
    <col min="3" max="3" width="20.81640625" customWidth="1"/>
  </cols>
  <sheetData>
    <row r="1" spans="1:5">
      <c r="A1" t="s">
        <v>79</v>
      </c>
    </row>
    <row r="3" spans="1:5">
      <c r="A3" s="14">
        <v>3.3</v>
      </c>
      <c r="B3" s="15"/>
      <c r="C3" s="15" t="s">
        <v>25</v>
      </c>
      <c r="D3" s="16"/>
      <c r="E3" s="15"/>
    </row>
    <row r="4" spans="1:5">
      <c r="A4" s="17">
        <f>A3*calculations!A97</f>
        <v>1.6521095909624195</v>
      </c>
      <c r="B4" s="15"/>
      <c r="C4" s="15" t="s">
        <v>26</v>
      </c>
      <c r="D4" s="16">
        <v>14</v>
      </c>
      <c r="E4" s="15" t="s">
        <v>29</v>
      </c>
    </row>
    <row r="5" spans="1:5">
      <c r="A5" s="18">
        <v>2.5</v>
      </c>
      <c r="B5" s="15"/>
      <c r="C5" s="15" t="s">
        <v>27</v>
      </c>
      <c r="D5" s="16">
        <v>24</v>
      </c>
      <c r="E5" s="15" t="s">
        <v>29</v>
      </c>
    </row>
    <row r="6" spans="1:5">
      <c r="A6" s="19">
        <v>0.35</v>
      </c>
      <c r="B6" s="15"/>
      <c r="C6" s="15" t="s">
        <v>28</v>
      </c>
      <c r="D6" s="16"/>
      <c r="E6" s="15"/>
    </row>
    <row r="7" spans="1:5">
      <c r="A7" s="8">
        <f>A5/A6</f>
        <v>7.1428571428571432</v>
      </c>
      <c r="B7" s="15"/>
      <c r="C7" s="15" t="s">
        <v>78</v>
      </c>
      <c r="D7" s="16"/>
      <c r="E7" s="15"/>
    </row>
    <row r="8" spans="1:5">
      <c r="A8" s="15"/>
      <c r="B8" s="15"/>
      <c r="C8" s="15"/>
      <c r="D8" s="16"/>
      <c r="E8" s="15"/>
    </row>
    <row r="9" spans="1:5">
      <c r="A9" s="15">
        <v>11.7</v>
      </c>
      <c r="B9" s="15"/>
      <c r="C9" s="15" t="s">
        <v>30</v>
      </c>
    </row>
    <row r="10" spans="1:5">
      <c r="A10" s="20">
        <f>A9*calculations!A97</f>
        <v>5.8574794588667594</v>
      </c>
      <c r="B10" s="15"/>
      <c r="C10" s="15" t="s">
        <v>77</v>
      </c>
      <c r="D10" s="16">
        <v>20</v>
      </c>
      <c r="E10" s="15" t="s">
        <v>29</v>
      </c>
    </row>
    <row r="11" spans="1:5">
      <c r="A11" s="18">
        <v>2.5</v>
      </c>
      <c r="B11" s="15"/>
      <c r="C11" s="15" t="s">
        <v>27</v>
      </c>
      <c r="D11" s="16">
        <v>28</v>
      </c>
      <c r="E11" s="15" t="s">
        <v>29</v>
      </c>
    </row>
    <row r="12" spans="1:5">
      <c r="A12" s="19">
        <v>0.35</v>
      </c>
      <c r="B12" s="15"/>
      <c r="C12" s="15" t="s">
        <v>28</v>
      </c>
      <c r="D12" s="16"/>
      <c r="E12" s="15"/>
    </row>
    <row r="13" spans="1:5">
      <c r="A13" s="8">
        <f>A11/A12</f>
        <v>7.1428571428571432</v>
      </c>
      <c r="B13" s="15"/>
      <c r="C13" s="15" t="s">
        <v>78</v>
      </c>
      <c r="D13" s="16"/>
      <c r="E13" s="15"/>
    </row>
    <row r="14" spans="1:5">
      <c r="A14" s="15"/>
      <c r="B14" s="15"/>
      <c r="C14" s="15"/>
      <c r="D14" s="16"/>
      <c r="E14" s="15"/>
    </row>
    <row r="15" spans="1:5">
      <c r="A15" s="15"/>
      <c r="B15" s="15"/>
      <c r="C15" s="15"/>
      <c r="D15" s="16"/>
      <c r="E15" s="15"/>
    </row>
    <row r="16" spans="1:5">
      <c r="A16" s="15"/>
      <c r="B16" s="15"/>
      <c r="C16" s="15"/>
      <c r="D16" s="16"/>
      <c r="E16" s="15"/>
    </row>
    <row r="17" spans="4:4">
      <c r="D17" s="1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calculations</vt:lpstr>
      <vt:lpstr>fuel taxes</vt:lpstr>
      <vt:lpstr>ad valorem</vt:lpstr>
      <vt:lpstr>other</vt:lpstr>
      <vt:lpstr>opCostChart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 Tech</dc:creator>
  <cp:lastModifiedBy>Kim, Daejin</cp:lastModifiedBy>
  <dcterms:created xsi:type="dcterms:W3CDTF">2017-05-13T09:29:11Z</dcterms:created>
  <dcterms:modified xsi:type="dcterms:W3CDTF">2017-12-28T23:36:38Z</dcterms:modified>
</cp:coreProperties>
</file>